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<sst xmlns="http://schemas.openxmlformats.org/spreadsheetml/2006/main" count="1423" uniqueCount="258">
  <si>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</si>
  <si>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</si>
  <si>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</si>
  <si>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</si>
  <si>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</si>
  <si>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</si>
  <si>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</si>
  <si>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</si>
  <si>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</si>
  <si>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</si>
  <si>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</si>
  <si>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</si>
  <si>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</si>
  <si>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</si>
  <si>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</si>
  <si>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</si>
  <si>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</si>
  <si>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</si>
  <si>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</si>
  <si>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</si>
  <si>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</si>
  <si>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</si>
  <si>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</si>
  <si>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</si>
  <si>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</si>
  <si>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</si>
  <si>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</si>
  <si>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</si>
  <si>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</si>
  <si>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</si>
  <si>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</si>
  <si>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</si>
  <si>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</si>
  <si>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</si>
  <si>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</si>
  <si>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</si>
  <si>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</si>
  <si>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</si>
  <si>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</si>
  <si>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</si>
  <si>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</si>
  <si>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</si>
  <si>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</si>
  <si>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</si>
  <si>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</si>
  <si>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</si>
  <si>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</si>
  <si>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</si>
  <si>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</si>
  <si>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</si>
  <si>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</si>
  <si>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</si>
  <si>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</si>
  <si>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</si>
  <si>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</si>
  <si>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</si>
  <si>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</si>
  <si>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</si>
  <si>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</si>
  <si>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</si>
  <si>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</si>
  <si>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</si>
  <si>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</si>
  <si>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</si>
  <si>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</si>
  <si>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</si>
  <si>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</si>
  <si>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</si>
  <si>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</si>
  <si>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</si>
  <si>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</si>
  <si>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</si>
  <si>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</si>
  <si>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</si>
  <si>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</si>
  <si>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</si>
  <si>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</si>
  <si>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</si>
  <si>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</si>
  <si>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</si>
  <si>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</si>
  <si>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</si>
  <si>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</si>
  <si>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</si>
  <si>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</si>
  <si>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</si>
  <si>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</si>
  <si>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</si>
  <si>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</si>
  <si>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</si>
  <si>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</si>
  <si>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</si>
  <si>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</si>
  <si>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</si>
  <si>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</si>
  <si>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</si>
  <si>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</si>
  <si>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</si>
  <si>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</si>
  <si>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</si>
  <si>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</si>
  <si>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</si>
  <si>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</si>
  <si>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</si>
  <si>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</si>
  <si>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</si>
  <si>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</si>
  <si>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</si>
  <si>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</si>
  <si>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</si>
  <si>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</si>
  <si>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</si>
  <si>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</si>
  <si>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</si>
  <si>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</si>
  <si>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</si>
  <si>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</si>
  <si>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</si>
  <si>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</si>
  <si>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</si>
  <si>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</si>
  <si>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</si>
  <si>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</si>
  <si>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</si>
  <si>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</si>
  <si>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</si>
  <si>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</si>
  <si>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</si>
  <si>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</si>
  <si>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</si>
  <si>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</si>
  <si>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</si>
  <si>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</si>
  <si>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</si>
  <si>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</si>
  <si>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</si>
  <si>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</si>
  <si>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</si>
  <si>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</si>
  <si>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</si>
  <si>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</si>
  <si>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</si>
  <si>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</si>
  <si>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</si>
  <si>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</si>
  <si>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</si>
  <si>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</si>
  <si>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</si>
  <si>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</si>
  <si>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</si>
  <si>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</si>
  <si>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</si>
  <si>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</si>
  <si>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</si>
  <si>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</si>
  <si>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</si>
  <si>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</si>
  <si>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</si>
  <si>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</si>
  <si>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</si>
  <si>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</si>
  <si>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</si>
  <si>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</si>
  <si>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</si>
  <si>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</si>
  <si>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</si>
  <si>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</si>
  <si>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</si>
  <si>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</si>
  <si>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</si>
  <si>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</si>
  <si>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</si>
  <si>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</si>
  <si>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</si>
  <si>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</si>
  <si>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</si>
  <si>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</si>
  <si>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</si>
  <si>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</si>
  <si>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</si>
  <si>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</si>
  <si>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</si>
  <si>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</si>
  <si>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</si>
  <si>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</si>
  <si>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</si>
  <si>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</si>
  <si>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</si>
  <si>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</si>
  <si>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</si>
  <si>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</si>
  <si>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</si>
  <si>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</si>
  <si>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</si>
  <si>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</si>
  <si>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</si>
  <si>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</si>
  <si>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</si>
  <si>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</si>
  <si>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</si>
  <si>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</si>
  <si>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</si>
  <si>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</si>
  <si>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</si>
  <si>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</si>
  <si>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</si>
  <si>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</si>
  <si>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</si>
  <si>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</si>
  <si>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</si>
  <si>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</si>
  <si>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</si>
  <si>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</si>
  <si>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</si>
  <si>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</si>
  <si>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</si>
  <si>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</si>
  <si>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</si>
  <si>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</si>
  <si>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</si>
  <si>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</si>
  <si>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</si>
  <si>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</si>
  <si>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</si>
  <si>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</si>
  <si>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</si>
  <si>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</si>
  <si>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</si>
  <si>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</si>
  <si>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</si>
  <si>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</si>
  <si>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</si>
  <si>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</si>
  <si>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</si>
  <si>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</si>
  <si>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</si>
  <si>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</si>
  <si>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</si>
  <si>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</si>
  <si>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</si>
  <si>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</si>
  <si>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</si>
  <si>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</si>
  <si>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</si>
  <si>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</si>
  <si>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</si>
  <si>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</si>
  <si>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</si>
  <si>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</si>
  <si>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</si>
  <si>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</si>
  <si>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</si>
  <si>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</si>
  <si>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</si>
  <si>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</si>
  <si>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</si>
  <si>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</si>
  <si>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28.07.14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</si>
</sst>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7"/>
      <sheetName val="депозит"/>
      <sheetName val="залишки  (2)"/>
      <sheetName val="надх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8">
          <cell r="G8">
            <v>0</v>
          </cell>
        </row>
        <row r="9">
          <cell r="G9">
            <v>13825221.96</v>
          </cell>
        </row>
      </sheetData>
      <sheetData sheetId="13">
        <row r="52">
          <cell r="B52">
            <v>27143906.32999999</v>
          </cell>
        </row>
      </sheetData>
      <sheetData sheetId="18">
        <row r="28">
          <cell r="C28">
            <v>4870376.3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48" sqref="F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252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249</v>
      </c>
      <c r="H4" s="184" t="s">
        <v>250</v>
      </c>
      <c r="I4" s="186" t="s">
        <v>188</v>
      </c>
      <c r="J4" s="188" t="s">
        <v>189</v>
      </c>
      <c r="K4" s="190" t="s">
        <v>254</v>
      </c>
      <c r="L4" s="191"/>
      <c r="M4" s="167"/>
      <c r="N4" s="198" t="s">
        <v>257</v>
      </c>
      <c r="O4" s="186" t="s">
        <v>136</v>
      </c>
      <c r="P4" s="186" t="s">
        <v>135</v>
      </c>
      <c r="Q4" s="190" t="s">
        <v>255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248</v>
      </c>
      <c r="F5" s="181"/>
      <c r="G5" s="183"/>
      <c r="H5" s="185"/>
      <c r="I5" s="187"/>
      <c r="J5" s="189"/>
      <c r="K5" s="192"/>
      <c r="L5" s="193"/>
      <c r="M5" s="151" t="s">
        <v>251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258171.93</v>
      </c>
      <c r="G8" s="22">
        <f aca="true" t="shared" si="0" ref="G8:G30">F8-E8</f>
        <v>-13062.77999999997</v>
      </c>
      <c r="H8" s="51">
        <f>F8/E8*100</f>
        <v>95.18395709752635</v>
      </c>
      <c r="I8" s="36">
        <f aca="true" t="shared" si="1" ref="I8:I17">F8-D8</f>
        <v>-230304.37</v>
      </c>
      <c r="J8" s="36">
        <f aca="true" t="shared" si="2" ref="J8:J14">F8/D8*100</f>
        <v>52.85249867803208</v>
      </c>
      <c r="K8" s="36">
        <f>F8-267884.5</f>
        <v>-9712.570000000007</v>
      </c>
      <c r="L8" s="136">
        <f>F8/267884.5</f>
        <v>0.9637434416698241</v>
      </c>
      <c r="M8" s="22">
        <f>M10+M19+M33+M56+M68+M30</f>
        <v>37968.180000000015</v>
      </c>
      <c r="N8" s="22">
        <f>N10+N19+N33+N56+N68+N30</f>
        <v>31752.90999999999</v>
      </c>
      <c r="O8" s="36">
        <f aca="true" t="shared" si="3" ref="O8:O71">N8-M8</f>
        <v>-6215.270000000026</v>
      </c>
      <c r="P8" s="36">
        <f>F8/M8*100</f>
        <v>679.9692005252817</v>
      </c>
      <c r="Q8" s="36">
        <f>N8-39945.7</f>
        <v>-8192.790000000008</v>
      </c>
      <c r="R8" s="134">
        <f>N8/39945.7</f>
        <v>0.7949018292331839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210232.12</v>
      </c>
      <c r="G9" s="22">
        <f t="shared" si="0"/>
        <v>210232.12</v>
      </c>
      <c r="H9" s="20"/>
      <c r="I9" s="56">
        <f t="shared" si="1"/>
        <v>-176781.08000000002</v>
      </c>
      <c r="J9" s="56">
        <f t="shared" si="2"/>
        <v>54.32169238671962</v>
      </c>
      <c r="K9" s="56"/>
      <c r="L9" s="135"/>
      <c r="M9" s="20">
        <f>M10+M17</f>
        <v>30824.800000000017</v>
      </c>
      <c r="N9" s="20">
        <f>N10+N17</f>
        <v>27233.98999999999</v>
      </c>
      <c r="O9" s="36">
        <f t="shared" si="3"/>
        <v>-3590.810000000027</v>
      </c>
      <c r="P9" s="56">
        <f>F9/M9*100</f>
        <v>682.0226570813107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210232.12</v>
      </c>
      <c r="G10" s="49">
        <f t="shared" si="0"/>
        <v>-11138.98000000001</v>
      </c>
      <c r="H10" s="40">
        <f aca="true" t="shared" si="4" ref="H10:H17">F10/E10*100</f>
        <v>94.96818690425263</v>
      </c>
      <c r="I10" s="56">
        <f t="shared" si="1"/>
        <v>-176781.08000000002</v>
      </c>
      <c r="J10" s="56">
        <f t="shared" si="2"/>
        <v>54.32169238671962</v>
      </c>
      <c r="K10" s="141">
        <f>F10-211325.8</f>
        <v>-1093.679999999993</v>
      </c>
      <c r="L10" s="142">
        <f>F10/211325.8</f>
        <v>0.9948246735609187</v>
      </c>
      <c r="M10" s="40">
        <f>E10-червень!E10</f>
        <v>30824.800000000017</v>
      </c>
      <c r="N10" s="40">
        <f>F10-червень!F10</f>
        <v>27233.98999999999</v>
      </c>
      <c r="O10" s="53">
        <f t="shared" si="3"/>
        <v>-3590.810000000027</v>
      </c>
      <c r="P10" s="56">
        <f aca="true" t="shared" si="5" ref="P10:P17">N10/M10*100</f>
        <v>88.35090576418979</v>
      </c>
      <c r="Q10" s="141">
        <f>N10-32192.1</f>
        <v>-4958.110000000008</v>
      </c>
      <c r="R10" s="142">
        <f>N10/32192.1</f>
        <v>0.8459836419494221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337.1</v>
      </c>
      <c r="G19" s="49">
        <f t="shared" si="0"/>
        <v>-696.4999999999999</v>
      </c>
      <c r="H19" s="40">
        <f aca="true" t="shared" si="6" ref="H19:H29">F19/E19*100</f>
        <v>32.61416408668731</v>
      </c>
      <c r="I19" s="56">
        <f aca="true" t="shared" si="7" ref="I19:I29">F19-D19</f>
        <v>-662.9</v>
      </c>
      <c r="J19" s="56">
        <f aca="true" t="shared" si="8" ref="J19:J29">F19/D19*100</f>
        <v>33.71</v>
      </c>
      <c r="K19" s="56">
        <f>F19-6042.8</f>
        <v>-5705.7</v>
      </c>
      <c r="L19" s="135">
        <f>F19/6042.8</f>
        <v>0.05578539749784868</v>
      </c>
      <c r="M19" s="40">
        <f>E19-червень!E19</f>
        <v>10.999999999999886</v>
      </c>
      <c r="N19" s="40">
        <f>F19-червень!F19</f>
        <v>19.230000000000018</v>
      </c>
      <c r="O19" s="53">
        <f t="shared" si="3"/>
        <v>8.230000000000132</v>
      </c>
      <c r="P19" s="56">
        <f aca="true" t="shared" si="9" ref="P19:P29">N19/M19*100</f>
        <v>174.81818181818377</v>
      </c>
      <c r="Q19" s="56">
        <f>N19-422.4</f>
        <v>-403.16999999999996</v>
      </c>
      <c r="R19" s="135">
        <f>N19/422.4</f>
        <v>0.04552556818181823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839.15</v>
      </c>
      <c r="G29" s="49">
        <f t="shared" si="0"/>
        <v>105.54999999999995</v>
      </c>
      <c r="H29" s="40">
        <f t="shared" si="6"/>
        <v>114.3879498364231</v>
      </c>
      <c r="I29" s="56">
        <f t="shared" si="7"/>
        <v>-90.85000000000002</v>
      </c>
      <c r="J29" s="56">
        <f t="shared" si="8"/>
        <v>90.23118279569893</v>
      </c>
      <c r="K29" s="148">
        <f>F29-2423.68</f>
        <v>-1584.5299999999997</v>
      </c>
      <c r="L29" s="149">
        <f>F29/2423.68</f>
        <v>0.3462297002904674</v>
      </c>
      <c r="M29" s="40">
        <f>E29-червень!E29</f>
        <v>-29</v>
      </c>
      <c r="N29" s="40">
        <f>F29-червень!F29</f>
        <v>11</v>
      </c>
      <c r="O29" s="148">
        <f t="shared" si="3"/>
        <v>40</v>
      </c>
      <c r="P29" s="145">
        <f t="shared" si="9"/>
        <v>-37.93103448275862</v>
      </c>
      <c r="Q29" s="148">
        <f>N29-422.37</f>
        <v>-411.37</v>
      </c>
      <c r="R29" s="149">
        <f>N29/422.37</f>
        <v>0.02604351634822549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43837.71</v>
      </c>
      <c r="G33" s="49">
        <f aca="true" t="shared" si="14" ref="G33:G72">F33-E33</f>
        <v>-1023.4000000000015</v>
      </c>
      <c r="H33" s="40">
        <f aca="true" t="shared" si="15" ref="H33:H67">F33/E33*100</f>
        <v>97.71873678560338</v>
      </c>
      <c r="I33" s="56">
        <f>F33-D33</f>
        <v>-49728.29</v>
      </c>
      <c r="J33" s="56">
        <f aca="true" t="shared" si="16" ref="J33:J72">F33/D33*100</f>
        <v>46.85217921039694</v>
      </c>
      <c r="K33" s="141">
        <f>F33-46836.9</f>
        <v>-2999.1900000000023</v>
      </c>
      <c r="L33" s="142">
        <f>F33/46836.9</f>
        <v>0.9359652325410093</v>
      </c>
      <c r="M33" s="40">
        <f>E33-червень!E33</f>
        <v>6579.879999999997</v>
      </c>
      <c r="N33" s="40">
        <f>F33-червень!F33</f>
        <v>4004.6500000000015</v>
      </c>
      <c r="O33" s="53">
        <f t="shared" si="3"/>
        <v>-2575.229999999996</v>
      </c>
      <c r="P33" s="56">
        <f aca="true" t="shared" si="17" ref="P33:P67">N33/M33*100</f>
        <v>60.86205219548082</v>
      </c>
      <c r="Q33" s="141">
        <f>N33-6866.9</f>
        <v>-2862.249999999998</v>
      </c>
      <c r="R33" s="142">
        <f>N33/6866.9</f>
        <v>0.5831816394588536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32695.1</v>
      </c>
      <c r="G55" s="144">
        <f t="shared" si="14"/>
        <v>-415.7099999999991</v>
      </c>
      <c r="H55" s="146">
        <f t="shared" si="15"/>
        <v>98.74448858242972</v>
      </c>
      <c r="I55" s="145">
        <f t="shared" si="18"/>
        <v>-37570.9</v>
      </c>
      <c r="J55" s="145">
        <f t="shared" si="16"/>
        <v>46.530469928557196</v>
      </c>
      <c r="K55" s="148">
        <f>F55-33694.14</f>
        <v>-999.0400000000009</v>
      </c>
      <c r="L55" s="149">
        <f>F55/33694.14</f>
        <v>0.9703497403406052</v>
      </c>
      <c r="M55" s="40">
        <f>E55-червень!E55</f>
        <v>4779.879999999997</v>
      </c>
      <c r="N55" s="40">
        <f>F55-червень!F55</f>
        <v>2928.5099999999984</v>
      </c>
      <c r="O55" s="148">
        <f t="shared" si="3"/>
        <v>-1851.369999999999</v>
      </c>
      <c r="P55" s="148">
        <f t="shared" si="17"/>
        <v>61.267437676259654</v>
      </c>
      <c r="Q55" s="163">
        <f>N55-4878.99</f>
        <v>-1950.4800000000014</v>
      </c>
      <c r="R55" s="164">
        <f>N55/4878.99</f>
        <v>0.6002287358654145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0.36+3760.29</f>
        <v>3760.65</v>
      </c>
      <c r="G56" s="49">
        <f t="shared" si="14"/>
        <v>-189.6500000000001</v>
      </c>
      <c r="H56" s="40">
        <f t="shared" si="15"/>
        <v>95.19909880262259</v>
      </c>
      <c r="I56" s="56">
        <f t="shared" si="18"/>
        <v>-3099.35</v>
      </c>
      <c r="J56" s="56">
        <f t="shared" si="16"/>
        <v>54.819970845481045</v>
      </c>
      <c r="K56" s="56">
        <f>F56-3653.5</f>
        <v>107.15000000000009</v>
      </c>
      <c r="L56" s="135">
        <f>F56/3653.5</f>
        <v>1.0293280416039414</v>
      </c>
      <c r="M56" s="40">
        <f>E56-червень!E56</f>
        <v>552</v>
      </c>
      <c r="N56" s="40">
        <f>F56-червень!F56</f>
        <v>494.5799999999999</v>
      </c>
      <c r="O56" s="53">
        <f t="shared" si="3"/>
        <v>-57.42000000000007</v>
      </c>
      <c r="P56" s="56">
        <f t="shared" si="17"/>
        <v>89.59782608695652</v>
      </c>
      <c r="Q56" s="56">
        <f>N56-464.2</f>
        <v>30.37999999999994</v>
      </c>
      <c r="R56" s="135">
        <f>N56/464.2</f>
        <v>1.0654459284791038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7398.919999999999</v>
      </c>
      <c r="G74" s="50">
        <f aca="true" t="shared" si="24" ref="G74:G92">F74-E74</f>
        <v>-1580.0800000000008</v>
      </c>
      <c r="H74" s="51">
        <f aca="true" t="shared" si="25" ref="H74:H87">F74/E74*100</f>
        <v>82.4024947098786</v>
      </c>
      <c r="I74" s="36">
        <f aca="true" t="shared" si="26" ref="I74:I92">F74-D74</f>
        <v>-10959.380000000001</v>
      </c>
      <c r="J74" s="36">
        <f aca="true" t="shared" si="27" ref="J74:J92">F74/D74*100</f>
        <v>40.30286028662785</v>
      </c>
      <c r="K74" s="36">
        <f>F74-11260</f>
        <v>-3861.080000000001</v>
      </c>
      <c r="L74" s="136">
        <f>F74/11260</f>
        <v>0.6570976909413854</v>
      </c>
      <c r="M74" s="22">
        <f>M77+M86+M88+M89+M94+M95+M96+M97+M99+M87+M104</f>
        <v>1550.5</v>
      </c>
      <c r="N74" s="22">
        <f>N77+N86+N88+N89+N94+N95+N96+N97+N99+N32+N104+N87+N103</f>
        <v>1057.3400000000001</v>
      </c>
      <c r="O74" s="55">
        <f aca="true" t="shared" si="28" ref="O74:O92">N74-M74</f>
        <v>-493.15999999999985</v>
      </c>
      <c r="P74" s="36">
        <f>N74/M74*100</f>
        <v>68.19348597226703</v>
      </c>
      <c r="Q74" s="36">
        <f>N74-2110.7</f>
        <v>-1053.3599999999997</v>
      </c>
      <c r="R74" s="136">
        <f>N74/2110.7</f>
        <v>0.5009428151797983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F77-1684.2</f>
        <v>-1579.01</v>
      </c>
      <c r="L77" s="135">
        <f>F77/1684.2</f>
        <v>0.062456952855955344</v>
      </c>
      <c r="M77" s="40">
        <f>E77-червень!E77</f>
        <v>0</v>
      </c>
      <c r="N77" s="40">
        <f>F77-червень!F77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N77-14.3</f>
        <v>-14.3</v>
      </c>
      <c r="R77" s="135">
        <f>N77/14.3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77.05</v>
      </c>
      <c r="G89" s="49">
        <f t="shared" si="24"/>
        <v>-21.950000000000003</v>
      </c>
      <c r="H89" s="40">
        <f>F89/E89*100</f>
        <v>77.82828282828282</v>
      </c>
      <c r="I89" s="56">
        <f t="shared" si="26"/>
        <v>-97.95</v>
      </c>
      <c r="J89" s="56">
        <f t="shared" si="27"/>
        <v>44.028571428571425</v>
      </c>
      <c r="K89" s="56">
        <f>F89-94</f>
        <v>-16.950000000000003</v>
      </c>
      <c r="L89" s="135">
        <f>F89/94</f>
        <v>0.8196808510638297</v>
      </c>
      <c r="M89" s="40">
        <f>E89-червень!E89</f>
        <v>15</v>
      </c>
      <c r="N89" s="40">
        <f>F89-червень!F89</f>
        <v>15.279999999999994</v>
      </c>
      <c r="O89" s="53">
        <f t="shared" si="28"/>
        <v>0.27999999999999403</v>
      </c>
      <c r="P89" s="56">
        <f>N89/M89*100</f>
        <v>101.86666666666662</v>
      </c>
      <c r="Q89" s="56">
        <f>N89-12.8</f>
        <v>2.4799999999999933</v>
      </c>
      <c r="R89" s="135">
        <f>N89/12.8</f>
        <v>1.1937499999999994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518.36</v>
      </c>
      <c r="G96" s="49">
        <f t="shared" si="31"/>
        <v>-86.13999999999999</v>
      </c>
      <c r="H96" s="40">
        <f>F96/E96*100</f>
        <v>85.75020678246484</v>
      </c>
      <c r="I96" s="56">
        <f t="shared" si="32"/>
        <v>-681.64</v>
      </c>
      <c r="J96" s="56">
        <f>F96/D96*100</f>
        <v>43.196666666666665</v>
      </c>
      <c r="K96" s="56">
        <f>F96-602.5</f>
        <v>-84.13999999999999</v>
      </c>
      <c r="L96" s="135">
        <f>F96/602.5</f>
        <v>0.8603485477178423</v>
      </c>
      <c r="M96" s="40">
        <f>E96-червень!E96</f>
        <v>130</v>
      </c>
      <c r="N96" s="40">
        <f>F96-червень!F96</f>
        <v>103.03000000000003</v>
      </c>
      <c r="O96" s="53">
        <f t="shared" si="33"/>
        <v>-26.96999999999997</v>
      </c>
      <c r="P96" s="56">
        <f>N96/M96*100</f>
        <v>79.25384615384617</v>
      </c>
      <c r="Q96" s="56">
        <f>N96-139.4</f>
        <v>-36.369999999999976</v>
      </c>
      <c r="R96" s="135">
        <f>N96/139.4</f>
        <v>0.7390961262553803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2316.21</v>
      </c>
      <c r="G99" s="49">
        <f t="shared" si="31"/>
        <v>129.21000000000004</v>
      </c>
      <c r="H99" s="40">
        <f>F99/E99*100</f>
        <v>105.90809327846364</v>
      </c>
      <c r="I99" s="56">
        <f t="shared" si="32"/>
        <v>-2256.49</v>
      </c>
      <c r="J99" s="56">
        <f>F99/D99*100</f>
        <v>50.65300588273887</v>
      </c>
      <c r="K99" s="56">
        <f>F99-2623.7</f>
        <v>-307.4899999999998</v>
      </c>
      <c r="L99" s="135">
        <f>F99/2623.7</f>
        <v>0.8828029119182834</v>
      </c>
      <c r="M99" s="40">
        <f>E99-червень!E99</f>
        <v>350</v>
      </c>
      <c r="N99" s="40">
        <f>F99-червень!F99</f>
        <v>346.93000000000006</v>
      </c>
      <c r="O99" s="53">
        <f t="shared" si="33"/>
        <v>-3.0699999999999363</v>
      </c>
      <c r="P99" s="56">
        <f>N99/M99*100</f>
        <v>99.12285714285716</v>
      </c>
      <c r="Q99" s="56">
        <f>N99-632</f>
        <v>-285.06999999999994</v>
      </c>
      <c r="R99" s="135">
        <f>N99/632</f>
        <v>0.5489398734177217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461.1</v>
      </c>
      <c r="G102" s="144"/>
      <c r="H102" s="146"/>
      <c r="I102" s="145"/>
      <c r="J102" s="145"/>
      <c r="K102" s="148">
        <f>F102-325</f>
        <v>136.10000000000002</v>
      </c>
      <c r="L102" s="149">
        <f>F102/325</f>
        <v>1.4187692307692308</v>
      </c>
      <c r="M102" s="40">
        <f>E102-червень!E102</f>
        <v>0</v>
      </c>
      <c r="N102" s="40">
        <f>F102-червень!F102</f>
        <v>98.41000000000003</v>
      </c>
      <c r="O102" s="53"/>
      <c r="P102" s="60"/>
      <c r="Q102" s="60">
        <f>N102-80.2</f>
        <v>18.210000000000022</v>
      </c>
      <c r="R102" s="138">
        <f>N102/80.2</f>
        <v>1.227057356608479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-51.37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14.13</v>
      </c>
      <c r="G105" s="49">
        <f>F105-E105</f>
        <v>-4.0699999999999985</v>
      </c>
      <c r="H105" s="40">
        <f>F105/E105*100</f>
        <v>77.63736263736266</v>
      </c>
      <c r="I105" s="56">
        <f t="shared" si="34"/>
        <v>-30.869999999999997</v>
      </c>
      <c r="J105" s="56">
        <f aca="true" t="shared" si="36" ref="J105:J110">F105/D105*100</f>
        <v>31.4</v>
      </c>
      <c r="K105" s="56">
        <f>F105-13.4</f>
        <v>0.7300000000000004</v>
      </c>
      <c r="L105" s="135">
        <f>F105/13.4</f>
        <v>1.0544776119402985</v>
      </c>
      <c r="M105" s="40">
        <f>E105-червень!E105</f>
        <v>3</v>
      </c>
      <c r="N105" s="40">
        <f>F105-червень!F105</f>
        <v>0.22000000000000064</v>
      </c>
      <c r="O105" s="53">
        <f t="shared" si="35"/>
        <v>-2.7799999999999994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265585.06</v>
      </c>
      <c r="G107" s="50">
        <f>F107-E107</f>
        <v>-14646.849999999977</v>
      </c>
      <c r="H107" s="51">
        <f>F107/E107*100</f>
        <v>94.77331114789891</v>
      </c>
      <c r="I107" s="36">
        <f t="shared" si="34"/>
        <v>-241294.53999999998</v>
      </c>
      <c r="J107" s="36">
        <f t="shared" si="36"/>
        <v>52.396083803727755</v>
      </c>
      <c r="K107" s="36">
        <f>F107-279160.4</f>
        <v>-13575.340000000026</v>
      </c>
      <c r="L107" s="136">
        <f>F107/279160.4</f>
        <v>0.9513708248017985</v>
      </c>
      <c r="M107" s="22">
        <f>M8+M74+M105+M106</f>
        <v>39521.680000000015</v>
      </c>
      <c r="N107" s="22">
        <f>N8+N74+N105+N106</f>
        <v>32810.46999999999</v>
      </c>
      <c r="O107" s="55">
        <f t="shared" si="35"/>
        <v>-6711.210000000028</v>
      </c>
      <c r="P107" s="36">
        <f>N107/M107*100</f>
        <v>83.01891518781584</v>
      </c>
      <c r="Q107" s="36">
        <f>N107-42056.4</f>
        <v>-9245.930000000015</v>
      </c>
      <c r="R107" s="136">
        <f>N107/42056.4</f>
        <v>0.7801540312532691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210750.47999999998</v>
      </c>
      <c r="G108" s="71">
        <f>G10-G18+G96</f>
        <v>-11225.12000000001</v>
      </c>
      <c r="H108" s="72">
        <f>F108/E108*100</f>
        <v>94.94308383443945</v>
      </c>
      <c r="I108" s="52">
        <f t="shared" si="34"/>
        <v>-177462.72000000003</v>
      </c>
      <c r="J108" s="52">
        <f t="shared" si="36"/>
        <v>54.28730398657232</v>
      </c>
      <c r="K108" s="52">
        <f>F108-212017.3</f>
        <v>-1266.820000000007</v>
      </c>
      <c r="L108" s="137">
        <f>F108/212017.3</f>
        <v>0.994024921551213</v>
      </c>
      <c r="M108" s="71">
        <f>M10-M18+M96</f>
        <v>30954.800000000017</v>
      </c>
      <c r="N108" s="71">
        <f>N10-N18+N96</f>
        <v>27337.01999999999</v>
      </c>
      <c r="O108" s="53">
        <f t="shared" si="35"/>
        <v>-3617.780000000028</v>
      </c>
      <c r="P108" s="52">
        <f>N108/M108*100</f>
        <v>88.31270109966782</v>
      </c>
      <c r="Q108" s="52">
        <f>N108-32331.5</f>
        <v>-4994.4800000000105</v>
      </c>
      <c r="R108" s="137">
        <f>N108/32331.5</f>
        <v>0.8455227873745416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54834.580000000016</v>
      </c>
      <c r="G109" s="62">
        <f>F109-E109</f>
        <v>-3421.7299999999523</v>
      </c>
      <c r="H109" s="72">
        <f>F109/E109*100</f>
        <v>94.12642167003033</v>
      </c>
      <c r="I109" s="52">
        <f t="shared" si="34"/>
        <v>-63831.81999999995</v>
      </c>
      <c r="J109" s="52">
        <f t="shared" si="36"/>
        <v>46.20901957083052</v>
      </c>
      <c r="K109" s="52">
        <f>F109-67143.1</f>
        <v>-12308.51999999999</v>
      </c>
      <c r="L109" s="137">
        <f>F109/67143.1</f>
        <v>0.81668228008537</v>
      </c>
      <c r="M109" s="71">
        <f>M107-M108</f>
        <v>8566.879999999997</v>
      </c>
      <c r="N109" s="71">
        <f>N107-N108</f>
        <v>5473.449999999997</v>
      </c>
      <c r="O109" s="53">
        <f t="shared" si="35"/>
        <v>-3093.4300000000003</v>
      </c>
      <c r="P109" s="52">
        <f>N109/M109*100</f>
        <v>63.8908213958874</v>
      </c>
      <c r="Q109" s="52">
        <f>N109-9724.9</f>
        <v>-4251.450000000003</v>
      </c>
      <c r="R109" s="137">
        <f>N109/9924.9</f>
        <v>0.5514866648530461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210750.47999999998</v>
      </c>
      <c r="G110" s="111">
        <f>F110-E110</f>
        <v>-5855.22000000003</v>
      </c>
      <c r="H110" s="72">
        <f>F110/E110*100</f>
        <v>97.29683013881905</v>
      </c>
      <c r="I110" s="81">
        <f t="shared" si="34"/>
        <v>-177462.72000000003</v>
      </c>
      <c r="J110" s="52">
        <f t="shared" si="36"/>
        <v>54.28730398657232</v>
      </c>
      <c r="K110" s="52"/>
      <c r="L110" s="137"/>
      <c r="M110" s="72">
        <f>E110-травень!E109</f>
        <v>65489.30000000002</v>
      </c>
      <c r="N110" s="71">
        <f>N108</f>
        <v>27337.01999999999</v>
      </c>
      <c r="O110" s="118">
        <f t="shared" si="35"/>
        <v>-38152.28000000003</v>
      </c>
      <c r="P110" s="52">
        <f>N110/M110*100</f>
        <v>41.74272743791731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755.29</v>
      </c>
      <c r="G115" s="49">
        <f t="shared" si="37"/>
        <v>-1269.31</v>
      </c>
      <c r="H115" s="40">
        <f aca="true" t="shared" si="39" ref="H115:H126">F115/E115*100</f>
        <v>37.30564062036946</v>
      </c>
      <c r="I115" s="60">
        <f t="shared" si="38"/>
        <v>-2916.21</v>
      </c>
      <c r="J115" s="60">
        <f aca="true" t="shared" si="40" ref="J115:J121">F115/D115*100</f>
        <v>20.571700939670436</v>
      </c>
      <c r="K115" s="60">
        <f>F115-2198.8</f>
        <v>-1443.5100000000002</v>
      </c>
      <c r="L115" s="138">
        <f>F115/2198.8</f>
        <v>0.34350100054575217</v>
      </c>
      <c r="M115" s="40">
        <f>E115-червень!E115</f>
        <v>327.5</v>
      </c>
      <c r="N115" s="40">
        <f>F115-червень!F115</f>
        <v>149.20999999999992</v>
      </c>
      <c r="O115" s="53">
        <f aca="true" t="shared" si="41" ref="O115:O126">N115-M115</f>
        <v>-178.29000000000008</v>
      </c>
      <c r="P115" s="60">
        <f>N115/M115*100</f>
        <v>45.56030534351142</v>
      </c>
      <c r="Q115" s="60">
        <f>N115-307.3</f>
        <v>-158.0900000000001</v>
      </c>
      <c r="R115" s="138">
        <f>N115/307.3</f>
        <v>0.4855515782622841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937.49</v>
      </c>
      <c r="G117" s="62">
        <f t="shared" si="37"/>
        <v>-1243.61</v>
      </c>
      <c r="H117" s="72">
        <f t="shared" si="39"/>
        <v>42.98244005318417</v>
      </c>
      <c r="I117" s="61">
        <f t="shared" si="38"/>
        <v>-3002.1099999999997</v>
      </c>
      <c r="J117" s="61">
        <f t="shared" si="40"/>
        <v>23.796578332825668</v>
      </c>
      <c r="K117" s="61">
        <f>F117-2366</f>
        <v>-1428.51</v>
      </c>
      <c r="L117" s="139">
        <f>F117/2366</f>
        <v>0.3962341504649197</v>
      </c>
      <c r="M117" s="62">
        <f>M115+M116+M114</f>
        <v>349.5</v>
      </c>
      <c r="N117" s="38">
        <f>SUM(N114:N116)</f>
        <v>167.33999999999992</v>
      </c>
      <c r="O117" s="61">
        <f t="shared" si="41"/>
        <v>-182.16000000000008</v>
      </c>
      <c r="P117" s="61">
        <f>N117/M117*100</f>
        <v>47.87982832618024</v>
      </c>
      <c r="Q117" s="61">
        <f>N117-335.5</f>
        <v>-168.16000000000008</v>
      </c>
      <c r="R117" s="139">
        <f>N117/335.5</f>
        <v>0.49877794336810705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246.93</v>
      </c>
      <c r="G119" s="49">
        <f t="shared" si="37"/>
        <v>64.43</v>
      </c>
      <c r="H119" s="40">
        <f t="shared" si="39"/>
        <v>135.3041095890411</v>
      </c>
      <c r="I119" s="60">
        <f t="shared" si="38"/>
        <v>-20.269999999999982</v>
      </c>
      <c r="J119" s="60">
        <f t="shared" si="40"/>
        <v>92.41392215568864</v>
      </c>
      <c r="K119" s="60">
        <f>F119-172.6</f>
        <v>74.33000000000001</v>
      </c>
      <c r="L119" s="138">
        <f>F119/172.6</f>
        <v>1.4306488991888762</v>
      </c>
      <c r="M119" s="40">
        <f>E119-червень!E119</f>
        <v>73</v>
      </c>
      <c r="N119" s="40">
        <f>F119-червень!F119</f>
        <v>108.65</v>
      </c>
      <c r="O119" s="53">
        <f>N119-M119</f>
        <v>35.650000000000006</v>
      </c>
      <c r="P119" s="60">
        <f>N119/M119*100</f>
        <v>148.83561643835617</v>
      </c>
      <c r="Q119" s="60">
        <f>N119-76.8</f>
        <v>31.85000000000001</v>
      </c>
      <c r="R119" s="138">
        <f>N119/76.8</f>
        <v>1.4147135416666667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45046.51</v>
      </c>
      <c r="G120" s="49">
        <f t="shared" si="37"/>
        <v>3733.9100000000035</v>
      </c>
      <c r="H120" s="40">
        <f t="shared" si="39"/>
        <v>109.03818689697576</v>
      </c>
      <c r="I120" s="53">
        <f t="shared" si="38"/>
        <v>-26929.480000000003</v>
      </c>
      <c r="J120" s="60">
        <f t="shared" si="40"/>
        <v>62.585467737227376</v>
      </c>
      <c r="K120" s="60">
        <f>F120-39659.2</f>
        <v>5387.310000000005</v>
      </c>
      <c r="L120" s="138">
        <f>F120/39659.2</f>
        <v>1.1358401077177553</v>
      </c>
      <c r="M120" s="40">
        <f>E120-червень!E120</f>
        <v>7100</v>
      </c>
      <c r="N120" s="40">
        <f>F120-червень!F120</f>
        <v>6992.800000000003</v>
      </c>
      <c r="O120" s="53">
        <f t="shared" si="41"/>
        <v>-107.19999999999709</v>
      </c>
      <c r="P120" s="60">
        <f aca="true" t="shared" si="42" ref="P120:P125">N120/M120*100</f>
        <v>98.49014084507046</v>
      </c>
      <c r="Q120" s="60">
        <v>7148.5</v>
      </c>
      <c r="R120" s="138">
        <f>N120/7148.5</f>
        <v>0.9782192068266073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2238.43</v>
      </c>
      <c r="G122" s="49">
        <f t="shared" si="37"/>
        <v>-4994.07</v>
      </c>
      <c r="H122" s="40">
        <f t="shared" si="39"/>
        <v>30.949602488765986</v>
      </c>
      <c r="I122" s="60">
        <f t="shared" si="38"/>
        <v>-20839.57</v>
      </c>
      <c r="J122" s="60">
        <f>F122/D122*100</f>
        <v>9.699410694167605</v>
      </c>
      <c r="K122" s="60">
        <f>F122-14177.3</f>
        <v>-11938.869999999999</v>
      </c>
      <c r="L122" s="138">
        <f>F122/14177.3</f>
        <v>0.1578883144181191</v>
      </c>
      <c r="M122" s="40">
        <f>E122-червень!E122</f>
        <v>2409.8999999999996</v>
      </c>
      <c r="N122" s="40">
        <f>F122-червень!F122</f>
        <v>121.29999999999973</v>
      </c>
      <c r="O122" s="53">
        <f t="shared" si="41"/>
        <v>-2288.6</v>
      </c>
      <c r="P122" s="60">
        <f t="shared" si="42"/>
        <v>5.033403875679478</v>
      </c>
      <c r="Q122" s="60">
        <f>N122-329.4</f>
        <v>-208.10000000000025</v>
      </c>
      <c r="R122" s="138">
        <f>N122/329.4</f>
        <v>0.36824529447480187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49974.22</v>
      </c>
      <c r="G124" s="62">
        <f t="shared" si="37"/>
        <v>-1488.4199999999983</v>
      </c>
      <c r="H124" s="72">
        <f t="shared" si="39"/>
        <v>97.10776594438218</v>
      </c>
      <c r="I124" s="61">
        <f t="shared" si="38"/>
        <v>-57346.97</v>
      </c>
      <c r="J124" s="61">
        <f>F124/D124*100</f>
        <v>46.56510051742811</v>
      </c>
      <c r="K124" s="61">
        <f>F124-56479.4</f>
        <v>-6505.18</v>
      </c>
      <c r="L124" s="139">
        <f>F124/56479.4</f>
        <v>0.8848220767217782</v>
      </c>
      <c r="M124" s="62">
        <f>M120+M121+M122+M123+M119</f>
        <v>9788.49</v>
      </c>
      <c r="N124" s="62">
        <f>N120+N121+N122+N123+N119</f>
        <v>7277.850000000002</v>
      </c>
      <c r="O124" s="61">
        <f t="shared" si="41"/>
        <v>-2510.6399999999976</v>
      </c>
      <c r="P124" s="61">
        <f t="shared" si="42"/>
        <v>74.35110011860871</v>
      </c>
      <c r="Q124" s="61">
        <f>N124-8200.3</f>
        <v>-922.4499999999971</v>
      </c>
      <c r="R124" s="139">
        <f>N124/8200.3</f>
        <v>0.8875102130409867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5307.15</v>
      </c>
      <c r="G128" s="49">
        <f aca="true" t="shared" si="43" ref="G128:G135">F128-E128</f>
        <v>291.64999999999964</v>
      </c>
      <c r="H128" s="40">
        <f>F128/E128*100</f>
        <v>105.81497358189611</v>
      </c>
      <c r="I128" s="60">
        <f aca="true" t="shared" si="44" ref="I128:I135">F128-D128</f>
        <v>-3392.8500000000004</v>
      </c>
      <c r="J128" s="60">
        <f>F128/D128*100</f>
        <v>61.001724137931035</v>
      </c>
      <c r="K128" s="60">
        <f>F128-6320.8</f>
        <v>-1013.6500000000005</v>
      </c>
      <c r="L128" s="138">
        <f>F128/6320.8</f>
        <v>0.8396326414377926</v>
      </c>
      <c r="M128" s="40">
        <f>E128-червень!E128</f>
        <v>3</v>
      </c>
      <c r="N128" s="40">
        <f>F128-червень!F128</f>
        <v>11.589999999999236</v>
      </c>
      <c r="O128" s="53">
        <f aca="true" t="shared" si="45" ref="O128:O135">N128-M128</f>
        <v>8.589999999999236</v>
      </c>
      <c r="P128" s="60">
        <f>N128/M128*100</f>
        <v>386.3333333333079</v>
      </c>
      <c r="Q128" s="60">
        <f>N128-19.4</f>
        <v>-7.8100000000007626</v>
      </c>
      <c r="R128" s="162">
        <f>N128/19.4</f>
        <v>0.5974226804123318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0.41</v>
      </c>
      <c r="G129" s="49">
        <f t="shared" si="43"/>
        <v>0.41</v>
      </c>
      <c r="H129" s="40"/>
      <c r="I129" s="60">
        <f t="shared" si="44"/>
        <v>0.41</v>
      </c>
      <c r="J129" s="60"/>
      <c r="K129" s="60">
        <f>F129-(-0.1)</f>
        <v>0.51</v>
      </c>
      <c r="L129" s="138">
        <f>F129/(-0.1)</f>
        <v>-4.1</v>
      </c>
      <c r="M129" s="40">
        <f>E129-червень!E129</f>
        <v>0</v>
      </c>
      <c r="N129" s="40">
        <f>F129-червень!F129</f>
        <v>0.14999999999999997</v>
      </c>
      <c r="O129" s="53">
        <f t="shared" si="45"/>
        <v>0.14999999999999997</v>
      </c>
      <c r="P129" s="60"/>
      <c r="Q129" s="60">
        <f>N129-0.3</f>
        <v>-0.15000000000000002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5341.209999999999</v>
      </c>
      <c r="G130" s="62">
        <f t="shared" si="43"/>
        <v>299.34999999999945</v>
      </c>
      <c r="H130" s="72">
        <f>F130/E130*100</f>
        <v>105.9372929831451</v>
      </c>
      <c r="I130" s="61">
        <f t="shared" si="44"/>
        <v>-3409.4900000000016</v>
      </c>
      <c r="J130" s="61">
        <f>F130/D130*100</f>
        <v>61.03751699864009</v>
      </c>
      <c r="K130" s="61">
        <f>F130-6438.4</f>
        <v>-1097.1900000000005</v>
      </c>
      <c r="L130" s="139">
        <f>G130/6438.4</f>
        <v>0.046494470675944255</v>
      </c>
      <c r="M130" s="62">
        <f>M125+M128+M129+M127</f>
        <v>5</v>
      </c>
      <c r="N130" s="62">
        <f>N125+N128+N129+N127</f>
        <v>13.459999999999235</v>
      </c>
      <c r="O130" s="61">
        <f t="shared" si="45"/>
        <v>8.459999999999235</v>
      </c>
      <c r="P130" s="61">
        <f>N130/M130*100</f>
        <v>269.1999999999847</v>
      </c>
      <c r="Q130" s="61">
        <f>N130-28.2</f>
        <v>-14.740000000000764</v>
      </c>
      <c r="R130" s="137">
        <f>N130/28.2</f>
        <v>0.47730496453897997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21.99</v>
      </c>
      <c r="G131" s="49">
        <f>F131-E131</f>
        <v>5.939999999999998</v>
      </c>
      <c r="H131" s="40">
        <f>F131/E131*100</f>
        <v>137.0093457943925</v>
      </c>
      <c r="I131" s="60">
        <f>F131-D131</f>
        <v>-8.010000000000002</v>
      </c>
      <c r="J131" s="60">
        <f>F131/D131*100</f>
        <v>73.3</v>
      </c>
      <c r="K131" s="60">
        <f>F131-17.3</f>
        <v>4.689999999999998</v>
      </c>
      <c r="L131" s="138">
        <f>F131/17.3</f>
        <v>1.2710982658959535</v>
      </c>
      <c r="M131" s="40">
        <f>E131-червень!E131</f>
        <v>0.40000000000000036</v>
      </c>
      <c r="N131" s="40">
        <f>F131-червень!F131</f>
        <v>0.8699999999999974</v>
      </c>
      <c r="O131" s="53">
        <f>N131-M131</f>
        <v>0.4699999999999971</v>
      </c>
      <c r="P131" s="60">
        <f>N131/M131*100</f>
        <v>217.49999999999918</v>
      </c>
      <c r="Q131" s="60">
        <f>N131-0.5</f>
        <v>0.36999999999999744</v>
      </c>
      <c r="R131" s="138">
        <f>N131/0.5</f>
        <v>1.7399999999999949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56274.91</v>
      </c>
      <c r="G134" s="50">
        <f t="shared" si="43"/>
        <v>-2426.739999999998</v>
      </c>
      <c r="H134" s="51">
        <f>F134/E134*100</f>
        <v>95.86597651002997</v>
      </c>
      <c r="I134" s="36">
        <f t="shared" si="44"/>
        <v>-63766.58</v>
      </c>
      <c r="J134" s="36">
        <f>F134/D134*100</f>
        <v>46.87954972901453</v>
      </c>
      <c r="K134" s="36">
        <f>F134-65301.1</f>
        <v>-9026.189999999995</v>
      </c>
      <c r="L134" s="136">
        <f>F134/65301.1</f>
        <v>0.8617758353228354</v>
      </c>
      <c r="M134" s="31">
        <f>M117+M131+M124+M130+M133+M132</f>
        <v>10143.39</v>
      </c>
      <c r="N134" s="31">
        <f>N117+N131+N124+N130+N133+N132</f>
        <v>7459.520000000001</v>
      </c>
      <c r="O134" s="36">
        <f t="shared" si="45"/>
        <v>-2683.869999999998</v>
      </c>
      <c r="P134" s="36">
        <f>N134/M134*100</f>
        <v>73.54069990407548</v>
      </c>
      <c r="Q134" s="36">
        <f>N134-8564.5</f>
        <v>-1104.9799999999987</v>
      </c>
      <c r="R134" s="136">
        <f>N134/8564.5</f>
        <v>0.8709813766127621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321859.97</v>
      </c>
      <c r="G135" s="50">
        <f t="shared" si="43"/>
        <v>-17073.590000000026</v>
      </c>
      <c r="H135" s="51">
        <f>F135/E135*100</f>
        <v>94.96255549317688</v>
      </c>
      <c r="I135" s="36">
        <f t="shared" si="44"/>
        <v>-305061.12</v>
      </c>
      <c r="J135" s="36">
        <f>F135/D135*100</f>
        <v>51.33978982905168</v>
      </c>
      <c r="K135" s="36">
        <f>F135-344461.4</f>
        <v>-22601.43000000005</v>
      </c>
      <c r="L135" s="136">
        <f>F135/344461.4</f>
        <v>0.9343861750547375</v>
      </c>
      <c r="M135" s="22">
        <f>M107+M134</f>
        <v>49665.070000000014</v>
      </c>
      <c r="N135" s="22">
        <f>N107+N134</f>
        <v>40269.98999999999</v>
      </c>
      <c r="O135" s="36">
        <f t="shared" si="45"/>
        <v>-9395.080000000024</v>
      </c>
      <c r="P135" s="36">
        <f>N135/M135*100</f>
        <v>81.08312341047738</v>
      </c>
      <c r="Q135" s="36">
        <f>N135-50620.9</f>
        <v>-10350.91000000001</v>
      </c>
      <c r="R135" s="136">
        <f>N135/50620.9</f>
        <v>0.7955210199739631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3</v>
      </c>
      <c r="D137" s="4" t="s">
        <v>118</v>
      </c>
    </row>
    <row r="138" spans="2:17" ht="31.5">
      <c r="B138" s="78" t="s">
        <v>154</v>
      </c>
      <c r="C138" s="39">
        <f>IF(O107&lt;0,ABS(O107/C137),0)</f>
        <v>2237.0700000000093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41848</v>
      </c>
      <c r="D139" s="39">
        <v>1588.8</v>
      </c>
      <c r="N139" s="195"/>
      <c r="O139" s="195"/>
    </row>
    <row r="140" spans="3:15" ht="15.75">
      <c r="C140" s="120">
        <v>41845</v>
      </c>
      <c r="D140" s="39">
        <v>1085.8</v>
      </c>
      <c r="F140" s="4" t="s">
        <v>166</v>
      </c>
      <c r="G140" s="196" t="s">
        <v>151</v>
      </c>
      <c r="H140" s="196"/>
      <c r="I140" s="115">
        <v>13825.22196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41844</v>
      </c>
      <c r="D141" s="39">
        <v>1109.1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119500.43803</v>
      </c>
      <c r="E143" s="80"/>
      <c r="F143" s="100" t="s">
        <v>147</v>
      </c>
      <c r="G143" s="196" t="s">
        <v>149</v>
      </c>
      <c r="H143" s="196"/>
      <c r="I143" s="116">
        <v>105675.21607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27143.90632999999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243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238</v>
      </c>
      <c r="H4" s="184" t="s">
        <v>239</v>
      </c>
      <c r="I4" s="186" t="s">
        <v>188</v>
      </c>
      <c r="J4" s="188" t="s">
        <v>189</v>
      </c>
      <c r="K4" s="190" t="s">
        <v>240</v>
      </c>
      <c r="L4" s="191"/>
      <c r="M4" s="167"/>
      <c r="N4" s="198" t="s">
        <v>247</v>
      </c>
      <c r="O4" s="186" t="s">
        <v>136</v>
      </c>
      <c r="P4" s="186" t="s">
        <v>135</v>
      </c>
      <c r="Q4" s="190" t="s">
        <v>242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237</v>
      </c>
      <c r="F5" s="181"/>
      <c r="G5" s="183"/>
      <c r="H5" s="185"/>
      <c r="I5" s="187"/>
      <c r="J5" s="189"/>
      <c r="K5" s="192"/>
      <c r="L5" s="193"/>
      <c r="M5" s="151" t="s">
        <v>241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v>2488.2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5"/>
      <c r="O139" s="195"/>
    </row>
    <row r="140" spans="3:15" ht="15.75">
      <c r="C140" s="120">
        <v>41816</v>
      </c>
      <c r="D140" s="39">
        <v>4277.2</v>
      </c>
      <c r="F140" s="4" t="s">
        <v>166</v>
      </c>
      <c r="G140" s="196" t="s">
        <v>151</v>
      </c>
      <c r="H140" s="196"/>
      <c r="I140" s="115">
        <f>'[1]залишки  (2)'!$G$9/1000</f>
        <v>13825.22196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41815</v>
      </c>
      <c r="D141" s="39">
        <v>1877.7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f>'[1]залишки  (2)'!$G$8/1000</f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117976.29</v>
      </c>
      <c r="E143" s="80"/>
      <c r="F143" s="100" t="s">
        <v>147</v>
      </c>
      <c r="G143" s="196" t="s">
        <v>149</v>
      </c>
      <c r="H143" s="196"/>
      <c r="I143" s="116">
        <v>104151.07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41386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233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229</v>
      </c>
      <c r="H4" s="184" t="s">
        <v>230</v>
      </c>
      <c r="I4" s="186" t="s">
        <v>188</v>
      </c>
      <c r="J4" s="188" t="s">
        <v>189</v>
      </c>
      <c r="K4" s="190" t="s">
        <v>231</v>
      </c>
      <c r="L4" s="191"/>
      <c r="M4" s="167"/>
      <c r="N4" s="198" t="s">
        <v>236</v>
      </c>
      <c r="O4" s="186" t="s">
        <v>136</v>
      </c>
      <c r="P4" s="186" t="s">
        <v>135</v>
      </c>
      <c r="Q4" s="190" t="s">
        <v>234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228</v>
      </c>
      <c r="F5" s="181"/>
      <c r="G5" s="183"/>
      <c r="H5" s="185"/>
      <c r="I5" s="187"/>
      <c r="J5" s="189"/>
      <c r="K5" s="192"/>
      <c r="L5" s="193"/>
      <c r="M5" s="151" t="s">
        <v>232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5"/>
      <c r="O138" s="195"/>
    </row>
    <row r="139" spans="3:15" ht="15.75">
      <c r="C139" s="120">
        <v>41788</v>
      </c>
      <c r="D139" s="39">
        <v>5993.3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41787</v>
      </c>
      <c r="D140" s="39">
        <v>2595.2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118982.48</v>
      </c>
      <c r="E142" s="80"/>
      <c r="F142" s="100" t="s">
        <v>147</v>
      </c>
      <c r="G142" s="196" t="s">
        <v>149</v>
      </c>
      <c r="H142" s="196"/>
      <c r="I142" s="116">
        <v>105157.26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27359.4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221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217</v>
      </c>
      <c r="H4" s="184" t="s">
        <v>218</v>
      </c>
      <c r="I4" s="186" t="s">
        <v>188</v>
      </c>
      <c r="J4" s="188" t="s">
        <v>189</v>
      </c>
      <c r="K4" s="190" t="s">
        <v>219</v>
      </c>
      <c r="L4" s="191"/>
      <c r="M4" s="167"/>
      <c r="N4" s="198" t="s">
        <v>227</v>
      </c>
      <c r="O4" s="186" t="s">
        <v>136</v>
      </c>
      <c r="P4" s="186" t="s">
        <v>135</v>
      </c>
      <c r="Q4" s="190" t="s">
        <v>222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216</v>
      </c>
      <c r="F5" s="181"/>
      <c r="G5" s="183"/>
      <c r="H5" s="185"/>
      <c r="I5" s="187"/>
      <c r="J5" s="189"/>
      <c r="K5" s="192"/>
      <c r="L5" s="193"/>
      <c r="M5" s="151" t="s">
        <v>220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5"/>
      <c r="O138" s="195"/>
    </row>
    <row r="139" spans="3:15" ht="15.75">
      <c r="C139" s="120">
        <v>41758</v>
      </c>
      <c r="D139" s="39">
        <v>5440.9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41757</v>
      </c>
      <c r="D140" s="39">
        <v>1923.2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123251.48</v>
      </c>
      <c r="E142" s="80"/>
      <c r="F142" s="100" t="s">
        <v>147</v>
      </c>
      <c r="G142" s="196" t="s">
        <v>149</v>
      </c>
      <c r="H142" s="196"/>
      <c r="I142" s="116">
        <v>109426.25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f>'[1]надх'!$B$52/1000</f>
        <v>27143.90632999999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212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208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210</v>
      </c>
      <c r="N3" s="168" t="s">
        <v>198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207</v>
      </c>
      <c r="H4" s="184" t="s">
        <v>195</v>
      </c>
      <c r="I4" s="186" t="s">
        <v>188</v>
      </c>
      <c r="J4" s="188" t="s">
        <v>189</v>
      </c>
      <c r="K4" s="190" t="s">
        <v>196</v>
      </c>
      <c r="L4" s="191"/>
      <c r="M4" s="167"/>
      <c r="N4" s="198" t="s">
        <v>213</v>
      </c>
      <c r="O4" s="186" t="s">
        <v>136</v>
      </c>
      <c r="P4" s="186" t="s">
        <v>135</v>
      </c>
      <c r="Q4" s="190" t="s">
        <v>197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214</v>
      </c>
      <c r="F5" s="181"/>
      <c r="G5" s="183"/>
      <c r="H5" s="185"/>
      <c r="I5" s="187"/>
      <c r="J5" s="189"/>
      <c r="K5" s="192"/>
      <c r="L5" s="193"/>
      <c r="M5" s="151" t="s">
        <v>211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5"/>
      <c r="O138" s="195"/>
    </row>
    <row r="139" spans="3:15" ht="15.75">
      <c r="C139" s="120">
        <v>41726</v>
      </c>
      <c r="D139" s="39">
        <v>4682.6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41725</v>
      </c>
      <c r="D140" s="39">
        <v>3360.7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114985.02570999999</v>
      </c>
      <c r="E142" s="80"/>
      <c r="F142" s="100" t="s">
        <v>147</v>
      </c>
      <c r="G142" s="196" t="s">
        <v>149</v>
      </c>
      <c r="H142" s="196"/>
      <c r="I142" s="116">
        <v>101159.80375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3918.1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9" t="s">
        <v>193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17" t="s">
        <v>187</v>
      </c>
      <c r="E3" s="46"/>
      <c r="F3" s="218" t="s">
        <v>107</v>
      </c>
      <c r="G3" s="219"/>
      <c r="H3" s="219"/>
      <c r="I3" s="219"/>
      <c r="J3" s="220"/>
      <c r="K3" s="123"/>
      <c r="L3" s="123"/>
      <c r="M3" s="221" t="s">
        <v>190</v>
      </c>
      <c r="N3" s="212" t="s">
        <v>185</v>
      </c>
      <c r="O3" s="212"/>
      <c r="P3" s="212"/>
      <c r="Q3" s="212"/>
      <c r="R3" s="212"/>
    </row>
    <row r="4" spans="1:18" ht="22.5" customHeight="1">
      <c r="A4" s="171"/>
      <c r="B4" s="173"/>
      <c r="C4" s="174"/>
      <c r="D4" s="217"/>
      <c r="E4" s="222" t="s">
        <v>191</v>
      </c>
      <c r="F4" s="213" t="s">
        <v>116</v>
      </c>
      <c r="G4" s="215" t="s">
        <v>167</v>
      </c>
      <c r="H4" s="184" t="s">
        <v>168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1"/>
      <c r="N4" s="198" t="s">
        <v>194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17"/>
      <c r="E5" s="223"/>
      <c r="F5" s="214"/>
      <c r="G5" s="216"/>
      <c r="H5" s="185"/>
      <c r="I5" s="211"/>
      <c r="J5" s="209"/>
      <c r="K5" s="192" t="s">
        <v>184</v>
      </c>
      <c r="L5" s="193"/>
      <c r="M5" s="221"/>
      <c r="N5" s="199"/>
      <c r="O5" s="211"/>
      <c r="P5" s="212"/>
      <c r="Q5" s="192" t="s">
        <v>199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5"/>
      <c r="O138" s="195"/>
    </row>
    <row r="139" spans="3:15" ht="15.75">
      <c r="C139" s="120">
        <v>41697</v>
      </c>
      <c r="D139" s="39">
        <v>2276.8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41696</v>
      </c>
      <c r="D140" s="39">
        <v>3746.1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f>'[1]залишки  (2)'!$G$8/1000</f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121970.53</v>
      </c>
      <c r="E142" s="80"/>
      <c r="F142" s="100" t="s">
        <v>147</v>
      </c>
      <c r="G142" s="196" t="s">
        <v>149</v>
      </c>
      <c r="H142" s="196"/>
      <c r="I142" s="116">
        <v>108145.31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9" t="s">
        <v>183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17" t="s">
        <v>192</v>
      </c>
      <c r="E3" s="46"/>
      <c r="F3" s="218" t="s">
        <v>107</v>
      </c>
      <c r="G3" s="219"/>
      <c r="H3" s="219"/>
      <c r="I3" s="219"/>
      <c r="J3" s="220"/>
      <c r="K3" s="123"/>
      <c r="L3" s="123"/>
      <c r="M3" s="188" t="s">
        <v>200</v>
      </c>
      <c r="N3" s="212" t="s">
        <v>178</v>
      </c>
      <c r="O3" s="212"/>
      <c r="P3" s="212"/>
      <c r="Q3" s="212"/>
      <c r="R3" s="212"/>
    </row>
    <row r="4" spans="1:18" ht="22.5" customHeight="1">
      <c r="A4" s="171"/>
      <c r="B4" s="173"/>
      <c r="C4" s="174"/>
      <c r="D4" s="217"/>
      <c r="E4" s="222" t="s">
        <v>153</v>
      </c>
      <c r="F4" s="213" t="s">
        <v>116</v>
      </c>
      <c r="G4" s="215" t="s">
        <v>175</v>
      </c>
      <c r="H4" s="184" t="s">
        <v>176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4"/>
      <c r="N4" s="198" t="s">
        <v>186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17"/>
      <c r="E5" s="223"/>
      <c r="F5" s="214"/>
      <c r="G5" s="216"/>
      <c r="H5" s="185"/>
      <c r="I5" s="211"/>
      <c r="J5" s="209"/>
      <c r="K5" s="192" t="s">
        <v>177</v>
      </c>
      <c r="L5" s="193"/>
      <c r="M5" s="189"/>
      <c r="N5" s="199"/>
      <c r="O5" s="211"/>
      <c r="P5" s="212"/>
      <c r="Q5" s="192" t="s">
        <v>179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5"/>
      <c r="O138" s="195"/>
    </row>
    <row r="139" spans="3:15" ht="15.75">
      <c r="C139" s="120">
        <v>41669</v>
      </c>
      <c r="D139" s="39">
        <v>4752.2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41668</v>
      </c>
      <c r="D140" s="39">
        <v>1984.7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111410.62</v>
      </c>
      <c r="E142" s="80"/>
      <c r="F142" s="100" t="s">
        <v>147</v>
      </c>
      <c r="G142" s="196" t="s">
        <v>149</v>
      </c>
      <c r="H142" s="196"/>
      <c r="I142" s="116">
        <v>97585.4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2014-07-29T12:07:32Z</cp:lastPrinted>
  <dcterms:created xsi:type="dcterms:W3CDTF">2003-07-28T11:27:56Z</dcterms:created>
  <dcterms:modified xsi:type="dcterms:W3CDTF">2014-07-29T12:27:01Z</dcterms:modified>
  <cp:category/>
  <cp:version/>
  <cp:contentType/>
  <cp:contentStatus/>
</cp:coreProperties>
</file>